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45" yWindow="34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<sst xmlns="http://schemas.openxmlformats.org/spreadsheetml/2006/main" count="163" uniqueCount="112">
  <si>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</si>
  <si>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</si>
  <si>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</si>
  <si>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</si>
  <si>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</si>
  <si>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</si>
  <si>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</si>
  <si>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</si>
  <si>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</si>
  <si>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</si>
  <si>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</si>
  <si>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</si>
  <si>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</si>
  <si>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</si>
  <si>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</si>
  <si>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</si>
  <si>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</si>
  <si>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</si>
  <si>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</si>
  <si>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</si>
  <si>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</si>
  <si>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</si>
  <si>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</si>
  <si>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</si>
  <si>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</si>
  <si>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</si>
  <si>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</si>
  <si>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</si>
  <si>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</si>
  <si>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</si>
  <si>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</si>
  <si>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</si>
  <si>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</si>
  <si>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</si>
  <si>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</si>
  <si>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</si>
  <si>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</si>
  <si>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</si>
  <si>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</si>
  <si>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</si>
  <si>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</si>
  <si>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</si>
  <si>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</si>
  <si>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</si>
  <si>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</si>
  <si>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</si>
  <si>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</si>
  <si>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</si>
  <si>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</si>
  <si>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</si>
  <si>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</si>
  <si>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</si>
  <si>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</si>
  <si>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</si>
  <si>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</si>
  <si>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</si>
  <si>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</si>
  <si>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</si>
  <si>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</si>
  <si>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</si>
  <si>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</si>
  <si>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</si>
  <si>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</si>
  <si>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</si>
  <si>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</si>
  <si>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</si>
  <si>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</si>
  <si>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</si>
  <si>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</si>
  <si>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</si>
  <si>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</si>
  <si>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</si>
  <si>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</si>
  <si>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</si>
  <si>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</si>
  <si>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</si>
  <si>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</si>
  <si>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</si>
  <si>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</si>
  <si>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</si>
  <si>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</si>
  <si>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</si>
  <si>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</si>
  <si>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</si>
  <si>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</si>
  <si>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</si>
  <si>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</si>
  <si>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</si>
  <si>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</si>
  <si>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</si>
  <si>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</si>
  <si>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</si>
  <si>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</si>
  <si>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</si>
  <si>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</si>
  <si>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</si>
  <si>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</si>
  <si>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</si>
  <si>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</si>
  <si>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</si>
  <si>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</si>
  <si>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</si>
  <si>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</si>
  <si>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</si>
  <si>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</si>
  <si>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</si>
  <si>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</si>
  <si>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</si>
  <si>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</si>
  <si>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</si>
  <si>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</si>
  <si>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загального фонду міського бюджету станом на 26.07.2017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</si>
</sst>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62814.000000000015</c:v>
                </c:pt>
                <c:pt idx="1">
                  <c:v>58003.40000000001</c:v>
                </c:pt>
                <c:pt idx="2">
                  <c:v>1287.5000000000002</c:v>
                </c:pt>
                <c:pt idx="3">
                  <c:v>3523.100000000006</c:v>
                </c:pt>
              </c:numCache>
            </c:numRef>
          </c:val>
          <c:shape val="box"/>
        </c:ser>
        <c:shape val="box"/>
        <c:axId val="7596096"/>
        <c:axId val="1256001"/>
      </c:bar3DChart>
      <c:catAx>
        <c:axId val="759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6001"/>
        <c:crosses val="autoZero"/>
        <c:auto val="1"/>
        <c:lblOffset val="100"/>
        <c:tickLblSkip val="1"/>
        <c:noMultiLvlLbl val="0"/>
      </c:catAx>
      <c:valAx>
        <c:axId val="1256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960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639897.9999999999</c:v>
                </c:pt>
                <c:pt idx="1">
                  <c:v>243536.9</c:v>
                </c:pt>
                <c:pt idx="2">
                  <c:v>497488.5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19926.399999999885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365363.19999999995</c:v>
                </c:pt>
                <c:pt idx="1">
                  <c:v>139550.80000000002</c:v>
                </c:pt>
                <c:pt idx="2">
                  <c:v>289475.19999999995</c:v>
                </c:pt>
                <c:pt idx="3">
                  <c:v>23.1</c:v>
                </c:pt>
                <c:pt idx="4">
                  <c:v>17726</c:v>
                </c:pt>
                <c:pt idx="5">
                  <c:v>45420.9</c:v>
                </c:pt>
                <c:pt idx="6">
                  <c:v>7409</c:v>
                </c:pt>
                <c:pt idx="7">
                  <c:v>5308.999999999993</c:v>
                </c:pt>
              </c:numCache>
            </c:numRef>
          </c:val>
          <c:shape val="box"/>
        </c:ser>
        <c:shape val="box"/>
        <c:axId val="11304010"/>
        <c:axId val="34627227"/>
      </c:bar3DChart>
      <c:catAx>
        <c:axId val="1130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27227"/>
        <c:crosses val="autoZero"/>
        <c:auto val="1"/>
        <c:lblOffset val="100"/>
        <c:tickLblSkip val="1"/>
        <c:noMultiLvlLbl val="0"/>
      </c:catAx>
      <c:valAx>
        <c:axId val="34627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40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211364.60000000003</c:v>
                </c:pt>
                <c:pt idx="1">
                  <c:v>136440.60000000003</c:v>
                </c:pt>
                <c:pt idx="2">
                  <c:v>211364.60000000003</c:v>
                </c:pt>
              </c:numCache>
            </c:numRef>
          </c:val>
          <c:shape val="box"/>
        </c:ser>
        <c:shape val="box"/>
        <c:axId val="43209588"/>
        <c:axId val="53341973"/>
      </c:bar3DChart>
      <c:catAx>
        <c:axId val="4320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41973"/>
        <c:crosses val="autoZero"/>
        <c:auto val="1"/>
        <c:lblOffset val="100"/>
        <c:tickLblSkip val="1"/>
        <c:noMultiLvlLbl val="0"/>
      </c:catAx>
      <c:valAx>
        <c:axId val="53341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9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64445.8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35499.59999999999</c:v>
                </c:pt>
                <c:pt idx="1">
                  <c:v>29613.8</c:v>
                </c:pt>
                <c:pt idx="2">
                  <c:v>1514.6</c:v>
                </c:pt>
                <c:pt idx="3">
                  <c:v>348.1</c:v>
                </c:pt>
                <c:pt idx="4">
                  <c:v>25.5</c:v>
                </c:pt>
                <c:pt idx="5">
                  <c:v>3997.5999999999917</c:v>
                </c:pt>
              </c:numCache>
            </c:numRef>
          </c:val>
          <c:shape val="box"/>
        </c:ser>
        <c:shape val="box"/>
        <c:axId val="10315710"/>
        <c:axId val="25732527"/>
      </c:bar3DChart>
      <c:catAx>
        <c:axId val="1031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32527"/>
        <c:crosses val="autoZero"/>
        <c:auto val="1"/>
        <c:lblOffset val="100"/>
        <c:tickLblSkip val="1"/>
        <c:noMultiLvlLbl val="0"/>
      </c:catAx>
      <c:valAx>
        <c:axId val="25732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157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12673.3</c:v>
                </c:pt>
                <c:pt idx="1">
                  <c:v>7917.7</c:v>
                </c:pt>
                <c:pt idx="3">
                  <c:v>336.1999999999999</c:v>
                </c:pt>
                <c:pt idx="4">
                  <c:v>498.60000000000014</c:v>
                </c:pt>
                <c:pt idx="5">
                  <c:v>240</c:v>
                </c:pt>
                <c:pt idx="6">
                  <c:v>3680.7999999999993</c:v>
                </c:pt>
              </c:numCache>
            </c:numRef>
          </c:val>
          <c:shape val="box"/>
        </c:ser>
        <c:shape val="box"/>
        <c:axId val="30266152"/>
        <c:axId val="3959913"/>
      </c:bar3DChart>
      <c:catAx>
        <c:axId val="3026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9913"/>
        <c:crosses val="autoZero"/>
        <c:auto val="1"/>
        <c:lblOffset val="100"/>
        <c:tickLblSkip val="2"/>
        <c:noMultiLvlLbl val="0"/>
      </c:catAx>
      <c:valAx>
        <c:axId val="3959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66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2041.7000000000003</c:v>
                </c:pt>
                <c:pt idx="1">
                  <c:v>1335.1000000000001</c:v>
                </c:pt>
                <c:pt idx="2">
                  <c:v>190.79999999999998</c:v>
                </c:pt>
                <c:pt idx="3">
                  <c:v>205.49999999999997</c:v>
                </c:pt>
                <c:pt idx="4">
                  <c:v>89.8</c:v>
                </c:pt>
                <c:pt idx="5">
                  <c:v>220.50000000000014</c:v>
                </c:pt>
              </c:numCache>
            </c:numRef>
          </c:val>
          <c:shape val="box"/>
        </c:ser>
        <c:shape val="box"/>
        <c:axId val="35639218"/>
        <c:axId val="52317507"/>
      </c:bar3DChart>
      <c:catAx>
        <c:axId val="3563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17507"/>
        <c:crosses val="autoZero"/>
        <c:auto val="1"/>
        <c:lblOffset val="100"/>
        <c:tickLblSkip val="1"/>
        <c:noMultiLvlLbl val="0"/>
      </c:catAx>
      <c:valAx>
        <c:axId val="52317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39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62664.00000000001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36130.5</c:v>
                </c:pt>
              </c:numCache>
            </c:numRef>
          </c:val>
          <c:shape val="box"/>
        </c:ser>
        <c:shape val="box"/>
        <c:axId val="1095516"/>
        <c:axId val="9859645"/>
      </c:bar3DChart>
      <c:catAx>
        <c:axId val="1095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859645"/>
        <c:crosses val="autoZero"/>
        <c:auto val="1"/>
        <c:lblOffset val="100"/>
        <c:tickLblSkip val="1"/>
        <c:noMultiLvlLbl val="0"/>
      </c:catAx>
      <c:valAx>
        <c:axId val="9859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5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639897.9999999999</c:v>
                </c:pt>
                <c:pt idx="1">
                  <c:v>362954.1</c:v>
                </c:pt>
                <c:pt idx="2">
                  <c:v>64445.8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62664.00000000001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365363.19999999995</c:v>
                </c:pt>
                <c:pt idx="1">
                  <c:v>211364.60000000003</c:v>
                </c:pt>
                <c:pt idx="2">
                  <c:v>35499.59999999999</c:v>
                </c:pt>
                <c:pt idx="3">
                  <c:v>12673.3</c:v>
                </c:pt>
                <c:pt idx="4">
                  <c:v>2041.7000000000003</c:v>
                </c:pt>
                <c:pt idx="5">
                  <c:v>62814.000000000015</c:v>
                </c:pt>
                <c:pt idx="6">
                  <c:v>36130.5</c:v>
                </c:pt>
              </c:numCache>
            </c:numRef>
          </c:val>
          <c:shape val="box"/>
        </c:ser>
        <c:shape val="box"/>
        <c:axId val="21627942"/>
        <c:axId val="60433751"/>
      </c:bar3DChart>
      <c:catAx>
        <c:axId val="2162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33751"/>
        <c:crosses val="autoZero"/>
        <c:auto val="1"/>
        <c:lblOffset val="100"/>
        <c:tickLblSkip val="1"/>
        <c:noMultiLvlLbl val="0"/>
      </c:catAx>
      <c:valAx>
        <c:axId val="60433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728085</c:v>
                </c:pt>
                <c:pt idx="1">
                  <c:v>102323.1</c:v>
                </c:pt>
                <c:pt idx="2">
                  <c:v>28689.7</c:v>
                </c:pt>
                <c:pt idx="3">
                  <c:v>29512.3</c:v>
                </c:pt>
                <c:pt idx="4">
                  <c:v>106.9</c:v>
                </c:pt>
                <c:pt idx="5">
                  <c:v>997075.2999999995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392831.3</c:v>
                </c:pt>
                <c:pt idx="1">
                  <c:v>55648.9</c:v>
                </c:pt>
                <c:pt idx="2">
                  <c:v>18290.3</c:v>
                </c:pt>
                <c:pt idx="3">
                  <c:v>12810.1</c:v>
                </c:pt>
                <c:pt idx="4">
                  <c:v>23.900000000000002</c:v>
                </c:pt>
                <c:pt idx="5">
                  <c:v>447790.10000000003</c:v>
                </c:pt>
              </c:numCache>
            </c:numRef>
          </c:val>
          <c:shape val="box"/>
        </c:ser>
        <c:shape val="box"/>
        <c:axId val="7032848"/>
        <c:axId val="63295633"/>
      </c:bar3DChart>
      <c:catAx>
        <c:axId val="70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95633"/>
        <c:crosses val="autoZero"/>
        <c:auto val="1"/>
        <c:lblOffset val="100"/>
        <c:tickLblSkip val="1"/>
        <c:noMultiLvlLbl val="0"/>
      </c:catAx>
      <c:valAx>
        <c:axId val="63295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2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43" sqref="K25:K43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1" t="s">
        <v>111</v>
      </c>
      <c r="B1" s="131"/>
      <c r="C1" s="131"/>
      <c r="D1" s="131"/>
      <c r="E1" s="131"/>
      <c r="F1" s="131"/>
      <c r="G1" s="131"/>
      <c r="H1" s="131"/>
      <c r="I1" s="131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5" t="s">
        <v>41</v>
      </c>
      <c r="B3" s="132" t="s">
        <v>108</v>
      </c>
      <c r="C3" s="132" t="s">
        <v>90</v>
      </c>
      <c r="D3" s="132" t="s">
        <v>23</v>
      </c>
      <c r="E3" s="132" t="s">
        <v>22</v>
      </c>
      <c r="F3" s="132" t="s">
        <v>109</v>
      </c>
      <c r="G3" s="132" t="s">
        <v>92</v>
      </c>
      <c r="H3" s="132" t="s">
        <v>110</v>
      </c>
      <c r="I3" s="132" t="s">
        <v>91</v>
      </c>
    </row>
    <row r="4" spans="1:9" ht="24.75" customHeight="1">
      <c r="A4" s="136"/>
      <c r="B4" s="133"/>
      <c r="C4" s="133"/>
      <c r="D4" s="133"/>
      <c r="E4" s="133"/>
      <c r="F4" s="133"/>
      <c r="G4" s="133"/>
      <c r="H4" s="133"/>
      <c r="I4" s="133"/>
    </row>
    <row r="5" spans="1:9" ht="39" customHeight="1" thickBot="1">
      <c r="A5" s="137"/>
      <c r="B5" s="134"/>
      <c r="C5" s="134"/>
      <c r="D5" s="134"/>
      <c r="E5" s="134"/>
      <c r="F5" s="134"/>
      <c r="G5" s="134"/>
      <c r="H5" s="134"/>
      <c r="I5" s="134"/>
    </row>
    <row r="6" spans="1:9" ht="18.75" thickBot="1">
      <c r="A6" s="22" t="s">
        <v>27</v>
      </c>
      <c r="B6" s="45">
        <v>408502.5</v>
      </c>
      <c r="C6" s="46">
        <f>625865.1-190.4-316.9+47.1+50+198+5366.4+2952+4818.2+150+958.5</f>
        <v>639897.9999999999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</f>
        <v>365363.19999999995</v>
      </c>
      <c r="E6" s="3">
        <f>D6/D151*100</f>
        <v>39.39673575843551</v>
      </c>
      <c r="F6" s="3">
        <f>D6/B6*100</f>
        <v>89.43964847216355</v>
      </c>
      <c r="G6" s="3">
        <f aca="true" t="shared" si="0" ref="G6:G43">D6/C6*100</f>
        <v>57.09709985028864</v>
      </c>
      <c r="H6" s="47">
        <f>B6-D6</f>
        <v>43139.30000000005</v>
      </c>
      <c r="I6" s="47">
        <f aca="true" t="shared" si="1" ref="I6:I43">C6-D6</f>
        <v>274534.79999999993</v>
      </c>
    </row>
    <row r="7" spans="1:9" s="37" customFormat="1" ht="18.75">
      <c r="A7" s="104" t="s">
        <v>82</v>
      </c>
      <c r="B7" s="97">
        <f>159608.6+45</f>
        <v>159653.6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</f>
        <v>139550.80000000002</v>
      </c>
      <c r="E7" s="95">
        <f>D7/D6*100</f>
        <v>38.19508916059418</v>
      </c>
      <c r="F7" s="95">
        <f>D7/B7*100</f>
        <v>87.40848937950663</v>
      </c>
      <c r="G7" s="95">
        <f>D7/C7*100</f>
        <v>57.30170664075958</v>
      </c>
      <c r="H7" s="105">
        <f>B7-D7</f>
        <v>20102.79999999999</v>
      </c>
      <c r="I7" s="105">
        <f t="shared" si="1"/>
        <v>103986.09999999998</v>
      </c>
    </row>
    <row r="8" spans="1:9" ht="18">
      <c r="A8" s="23" t="s">
        <v>3</v>
      </c>
      <c r="B8" s="42">
        <f>318712.2+230</f>
        <v>318942.2</v>
      </c>
      <c r="C8" s="43">
        <f>487771.7+47.1+4992.2+4503.5+174</f>
        <v>497488.5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</f>
        <v>289475.19999999995</v>
      </c>
      <c r="E8" s="1">
        <f>D8/D6*100</f>
        <v>79.22943525784754</v>
      </c>
      <c r="F8" s="1">
        <f>D8/B8*100</f>
        <v>90.76102190302818</v>
      </c>
      <c r="G8" s="1">
        <f t="shared" si="0"/>
        <v>58.18731488265557</v>
      </c>
      <c r="H8" s="44">
        <f>B8-D8</f>
        <v>29467.00000000006</v>
      </c>
      <c r="I8" s="44">
        <f t="shared" si="1"/>
        <v>208013.30000000005</v>
      </c>
    </row>
    <row r="9" spans="1:9" ht="18">
      <c r="A9" s="23" t="s">
        <v>2</v>
      </c>
      <c r="B9" s="42">
        <v>51.9</v>
      </c>
      <c r="C9" s="43">
        <v>92.5</v>
      </c>
      <c r="D9" s="44">
        <f>2.5+4.3+3.3+7+0.4+1.3+1.6+1.3+1.5-0.1</f>
        <v>23.1</v>
      </c>
      <c r="E9" s="12">
        <f>D9/D6*100</f>
        <v>0.006322475826793723</v>
      </c>
      <c r="F9" s="119">
        <f>D9/B9*100</f>
        <v>44.50867052023122</v>
      </c>
      <c r="G9" s="1">
        <f t="shared" si="0"/>
        <v>24.972972972972972</v>
      </c>
      <c r="H9" s="44">
        <f aca="true" t="shared" si="2" ref="H9:H43">B9-D9</f>
        <v>28.799999999999997</v>
      </c>
      <c r="I9" s="44">
        <f t="shared" si="1"/>
        <v>69.4</v>
      </c>
    </row>
    <row r="10" spans="1:9" ht="18">
      <c r="A10" s="23" t="s">
        <v>1</v>
      </c>
      <c r="B10" s="42">
        <v>18497.6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</f>
        <v>17726</v>
      </c>
      <c r="E10" s="1">
        <f>D10/D6*100</f>
        <v>4.851610671244395</v>
      </c>
      <c r="F10" s="1">
        <f aca="true" t="shared" si="3" ref="F10:F41">D10/B10*100</f>
        <v>95.82864804082692</v>
      </c>
      <c r="G10" s="1">
        <f t="shared" si="0"/>
        <v>64.54854978788485</v>
      </c>
      <c r="H10" s="44">
        <f t="shared" si="2"/>
        <v>771.5999999999985</v>
      </c>
      <c r="I10" s="44">
        <f t="shared" si="1"/>
        <v>9735.5</v>
      </c>
    </row>
    <row r="11" spans="1:9" ht="18">
      <c r="A11" s="23" t="s">
        <v>0</v>
      </c>
      <c r="B11" s="42">
        <f>52506.2-45</f>
        <v>52461.2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</f>
        <v>45420.9</v>
      </c>
      <c r="E11" s="1">
        <f>D11/D6*100</f>
        <v>12.431711787065584</v>
      </c>
      <c r="F11" s="1">
        <f t="shared" si="3"/>
        <v>86.57998673305224</v>
      </c>
      <c r="G11" s="1">
        <f t="shared" si="0"/>
        <v>56.144152384719504</v>
      </c>
      <c r="H11" s="44">
        <f t="shared" si="2"/>
        <v>7040.299999999996</v>
      </c>
      <c r="I11" s="44">
        <f t="shared" si="1"/>
        <v>35479.6</v>
      </c>
    </row>
    <row r="12" spans="1:9" ht="18">
      <c r="A12" s="23" t="s">
        <v>14</v>
      </c>
      <c r="B12" s="42">
        <f>8027.8-230</f>
        <v>7797.8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</f>
        <v>7409</v>
      </c>
      <c r="E12" s="1">
        <f>D12/D6*100</f>
        <v>2.027845168862108</v>
      </c>
      <c r="F12" s="1">
        <f t="shared" si="3"/>
        <v>95.01397830157224</v>
      </c>
      <c r="G12" s="1">
        <f t="shared" si="0"/>
        <v>52.81353805796729</v>
      </c>
      <c r="H12" s="44">
        <f t="shared" si="2"/>
        <v>388.8000000000002</v>
      </c>
      <c r="I12" s="44">
        <f t="shared" si="1"/>
        <v>6619.6</v>
      </c>
    </row>
    <row r="13" spans="1:9" ht="18.75" thickBot="1">
      <c r="A13" s="23" t="s">
        <v>28</v>
      </c>
      <c r="B13" s="43">
        <f>B6-B8-B9-B10-B11-B12</f>
        <v>10751.799999999992</v>
      </c>
      <c r="C13" s="43">
        <f>C6-C8-C9-C10-C11-C12</f>
        <v>19926.399999999885</v>
      </c>
      <c r="D13" s="43">
        <f>D6-D8-D9-D10-D11-D12</f>
        <v>5308.999999999993</v>
      </c>
      <c r="E13" s="1">
        <f>D13/D6*100</f>
        <v>1.4530746391535856</v>
      </c>
      <c r="F13" s="1">
        <f t="shared" si="3"/>
        <v>49.3777786045127</v>
      </c>
      <c r="G13" s="1">
        <f t="shared" si="0"/>
        <v>26.643046410791833</v>
      </c>
      <c r="H13" s="44">
        <f t="shared" si="2"/>
        <v>5442.799999999999</v>
      </c>
      <c r="I13" s="44">
        <f t="shared" si="1"/>
        <v>14617.399999999892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235242.5</v>
      </c>
      <c r="C18" s="46">
        <f>329127.1+600+14307.6+200+1333.8+15842.2+1513.4+30</f>
        <v>362954.1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</f>
        <v>211364.60000000003</v>
      </c>
      <c r="E18" s="3">
        <f>D18/D151*100</f>
        <v>22.79122608650083</v>
      </c>
      <c r="F18" s="3">
        <f>D18/B18*100</f>
        <v>89.8496657704284</v>
      </c>
      <c r="G18" s="3">
        <f t="shared" si="0"/>
        <v>58.234526073682616</v>
      </c>
      <c r="H18" s="47">
        <f>B18-D18</f>
        <v>23877.899999999965</v>
      </c>
      <c r="I18" s="47">
        <f t="shared" si="1"/>
        <v>151589.49999999994</v>
      </c>
    </row>
    <row r="19" spans="1:13" s="37" customFormat="1" ht="18.75">
      <c r="A19" s="104" t="s">
        <v>83</v>
      </c>
      <c r="B19" s="97">
        <v>140223.5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+7098.6</f>
        <v>136440.60000000003</v>
      </c>
      <c r="E19" s="95">
        <f>D19/D18*100</f>
        <v>64.55224763276348</v>
      </c>
      <c r="F19" s="95">
        <f t="shared" si="3"/>
        <v>97.30223535997892</v>
      </c>
      <c r="G19" s="95">
        <f t="shared" si="0"/>
        <v>56.96762704823064</v>
      </c>
      <c r="H19" s="105">
        <f t="shared" si="2"/>
        <v>3782.899999999965</v>
      </c>
      <c r="I19" s="105">
        <f t="shared" si="1"/>
        <v>103064.89999999997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11" ht="18.75" thickBot="1">
      <c r="A25" s="23" t="s">
        <v>28</v>
      </c>
      <c r="B25" s="43">
        <f>B18</f>
        <v>235242.5</v>
      </c>
      <c r="C25" s="43">
        <f>C18</f>
        <v>362954.1</v>
      </c>
      <c r="D25" s="43">
        <f>D18</f>
        <v>211364.60000000003</v>
      </c>
      <c r="E25" s="1">
        <f>D25/D18*100</f>
        <v>100</v>
      </c>
      <c r="F25" s="1">
        <f t="shared" si="3"/>
        <v>89.8496657704284</v>
      </c>
      <c r="G25" s="1">
        <f t="shared" si="0"/>
        <v>58.234526073682616</v>
      </c>
      <c r="H25" s="44">
        <f t="shared" si="2"/>
        <v>23877.899999999965</v>
      </c>
      <c r="I25" s="44">
        <f t="shared" si="1"/>
        <v>151589.49999999994</v>
      </c>
      <c r="K25" s="138"/>
    </row>
    <row r="26" spans="1:11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8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8"/>
    </row>
    <row r="28" spans="1:11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8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8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8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8"/>
    </row>
    <row r="32" spans="1:11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8"/>
    </row>
    <row r="33" spans="1:11" ht="18.75" thickBot="1">
      <c r="A33" s="22" t="s">
        <v>17</v>
      </c>
      <c r="B33" s="45">
        <f>38479.6-59</f>
        <v>38420.6</v>
      </c>
      <c r="C33" s="46">
        <f>67303.3-3099.2+301.7+44-104</f>
        <v>64445.8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</f>
        <v>35499.59999999999</v>
      </c>
      <c r="E33" s="3">
        <f>D33/D151*100</f>
        <v>3.827885131097377</v>
      </c>
      <c r="F33" s="3">
        <f>D33/B33*100</f>
        <v>92.3973076943098</v>
      </c>
      <c r="G33" s="3">
        <f t="shared" si="0"/>
        <v>55.084427534455294</v>
      </c>
      <c r="H33" s="47">
        <f t="shared" si="2"/>
        <v>2921.0000000000073</v>
      </c>
      <c r="I33" s="47">
        <f t="shared" si="1"/>
        <v>28946.20000000001</v>
      </c>
      <c r="K33" s="138"/>
    </row>
    <row r="34" spans="1:11" ht="18">
      <c r="A34" s="23" t="s">
        <v>3</v>
      </c>
      <c r="B34" s="42">
        <v>31736.2</v>
      </c>
      <c r="C34" s="43">
        <f>55535.9-3105.8+301.7</f>
        <v>52731.799999999996</v>
      </c>
      <c r="D34" s="44">
        <f>1743.2+1833.7+1830.2+1935.3+81+1854.2+129.9+1804.7+34.4+1.5+1881.6+1967.7+0.1+1784.4+235.6+2357.6-0.1+6335.8+2919.9+53.7+142.8+686.6</f>
        <v>29613.8</v>
      </c>
      <c r="E34" s="1">
        <f>D34/D33*100</f>
        <v>83.42009487430846</v>
      </c>
      <c r="F34" s="1">
        <f t="shared" si="3"/>
        <v>93.31236884062993</v>
      </c>
      <c r="G34" s="1">
        <f t="shared" si="0"/>
        <v>56.159281496174984</v>
      </c>
      <c r="H34" s="44">
        <f t="shared" si="2"/>
        <v>2122.4000000000015</v>
      </c>
      <c r="I34" s="44">
        <f t="shared" si="1"/>
        <v>23117.999999999996</v>
      </c>
      <c r="K34" s="138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8"/>
    </row>
    <row r="36" spans="1:11" ht="18">
      <c r="A36" s="23" t="s">
        <v>0</v>
      </c>
      <c r="B36" s="42">
        <f>1625.5-1.7</f>
        <v>1623.8</v>
      </c>
      <c r="C36" s="43">
        <v>2945.3</v>
      </c>
      <c r="D36" s="44">
        <f>5.4+1.2+41.8+16.1+2.9+29.7+160.9+0.8+93.4+46.9+11.2+0.1+15.2+184.7+9.2+183.2+0.9+11.9+0.1+174+0.1+59.2+12.8+2+8.2+325.6+7.6-0.1+53.7+13.4+10.7+7.4+0.6+1.6+1.5+8.1+1.8+9.7+0.1+1</f>
        <v>1514.6</v>
      </c>
      <c r="E36" s="1">
        <f>D36/D33*100</f>
        <v>4.2665269467825</v>
      </c>
      <c r="F36" s="1">
        <f t="shared" si="3"/>
        <v>93.2750338711664</v>
      </c>
      <c r="G36" s="1">
        <f t="shared" si="0"/>
        <v>51.42430312701591</v>
      </c>
      <c r="H36" s="44">
        <f t="shared" si="2"/>
        <v>109.20000000000005</v>
      </c>
      <c r="I36" s="44">
        <f t="shared" si="1"/>
        <v>1430.7000000000003</v>
      </c>
      <c r="K36" s="138"/>
    </row>
    <row r="37" spans="1:11" s="37" customFormat="1" ht="18.75">
      <c r="A37" s="18" t="s">
        <v>7</v>
      </c>
      <c r="B37" s="51">
        <f>511.2-59</f>
        <v>452.2</v>
      </c>
      <c r="C37" s="52">
        <f>856.1-104</f>
        <v>752.1</v>
      </c>
      <c r="D37" s="53">
        <f>7.4+12.3+6.1+3.3+9.3+3.2+58.1+36.7+24.4+18.9-18.9+0.1+12+83.3+21.3+10.7+4.7+55.2</f>
        <v>348.1</v>
      </c>
      <c r="E37" s="17">
        <f>D37/D33*100</f>
        <v>0.9805744290076511</v>
      </c>
      <c r="F37" s="17">
        <f t="shared" si="3"/>
        <v>76.97921273772667</v>
      </c>
      <c r="G37" s="17">
        <f t="shared" si="0"/>
        <v>46.2837388645127</v>
      </c>
      <c r="H37" s="53">
        <f t="shared" si="2"/>
        <v>104.09999999999997</v>
      </c>
      <c r="I37" s="53">
        <f t="shared" si="1"/>
        <v>404</v>
      </c>
      <c r="K37" s="139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0.07183179528783425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8"/>
    </row>
    <row r="39" spans="1:11" ht="18.75" thickBot="1">
      <c r="A39" s="23" t="s">
        <v>28</v>
      </c>
      <c r="B39" s="42">
        <f>B33-B34-B36-B37-B35-B38</f>
        <v>4582.899999999998</v>
      </c>
      <c r="C39" s="42">
        <f>C33-C34-C36-C37-C35-C38</f>
        <v>7935.8000000000075</v>
      </c>
      <c r="D39" s="42">
        <f>D33-D34-D36-D37-D35-D38</f>
        <v>3997.5999999999917</v>
      </c>
      <c r="E39" s="1">
        <f>D39/D33*100</f>
        <v>11.260971954613552</v>
      </c>
      <c r="F39" s="1">
        <f t="shared" si="3"/>
        <v>87.22861070501196</v>
      </c>
      <c r="G39" s="1">
        <f t="shared" si="0"/>
        <v>50.374253383401644</v>
      </c>
      <c r="H39" s="44">
        <f>B39-D39</f>
        <v>585.3000000000061</v>
      </c>
      <c r="I39" s="44">
        <f t="shared" si="1"/>
        <v>3938.2000000000157</v>
      </c>
      <c r="K39" s="138"/>
    </row>
    <row r="40" spans="1:11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8"/>
    </row>
    <row r="41" spans="1:11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8"/>
    </row>
    <row r="42" spans="1:11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8"/>
    </row>
    <row r="43" spans="1:11" ht="19.5" thickBot="1">
      <c r="A43" s="13" t="s">
        <v>16</v>
      </c>
      <c r="B43" s="98">
        <v>1787.7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29.1+22+50.2+8.1+0.6+111.5+89.2+3+14.7+7.1+8.4+11.5+17.6+100.3+27.2+6.2-0.1+30.1+12.7+5+6.1+5+7.2+55.8+7.4+109.8-0.1+35+11.8+22.6+27.4+6.5+3.2+63.8+35.8+6.6+2.7+4+0.2+6.5+6.9+61+27.1-0.1+3.2+4.7+2.4+51.9+11+53.3</f>
        <v>1193.1000000000001</v>
      </c>
      <c r="E43" s="3">
        <f>D43/D151*100</f>
        <v>0.12865073831570728</v>
      </c>
      <c r="F43" s="3">
        <f>D43/B43*100</f>
        <v>66.73938580298709</v>
      </c>
      <c r="G43" s="3">
        <f t="shared" si="0"/>
        <v>53.41361865962304</v>
      </c>
      <c r="H43" s="47">
        <f t="shared" si="2"/>
        <v>594.5999999999999</v>
      </c>
      <c r="I43" s="47">
        <f t="shared" si="1"/>
        <v>1040.6000000000001</v>
      </c>
      <c r="K43" s="138"/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6940.2</v>
      </c>
      <c r="C45" s="46">
        <v>11788</v>
      </c>
      <c r="D45" s="47">
        <f>102.9+155.5+3.1+3.7+452.3+6+17.2+314.1+59.3+95.2+2.2+579+1.9+71.6+375.2+7+7.3+568.3+0.1+96.1+326.4+4.1+518.1-0.1+350+35.2+5.1+556.7+19.5+326.2+24.6+1+691.6+365.3+4.1</f>
        <v>6145.800000000001</v>
      </c>
      <c r="E45" s="3">
        <f>D45/D151*100</f>
        <v>0.6626952539943624</v>
      </c>
      <c r="F45" s="3">
        <f>D45/B45*100</f>
        <v>88.55364398720499</v>
      </c>
      <c r="G45" s="3">
        <f aca="true" t="shared" si="4" ref="G45:G76">D45/C45*100</f>
        <v>52.136070580251115</v>
      </c>
      <c r="H45" s="47">
        <f>B45-D45</f>
        <v>794.3999999999987</v>
      </c>
      <c r="I45" s="47">
        <f aca="true" t="shared" si="5" ref="I45:I77">C45-D45</f>
        <v>5642.199999999999</v>
      </c>
    </row>
    <row r="46" spans="1:9" ht="18">
      <c r="A46" s="23" t="s">
        <v>3</v>
      </c>
      <c r="B46" s="42">
        <v>6150.2</v>
      </c>
      <c r="C46" s="43">
        <v>10529.7</v>
      </c>
      <c r="D46" s="44">
        <f>102.7+154.9+447.3+314.1+572.1+284.8+559+325.4+510.8+301.6+29.6+556.7+0.1+311.9+684.4+334.8</f>
        <v>5490.2</v>
      </c>
      <c r="E46" s="1">
        <f>D46/D45*100</f>
        <v>89.33255231214812</v>
      </c>
      <c r="F46" s="1">
        <f aca="true" t="shared" si="6" ref="F46:F74">D46/B46*100</f>
        <v>89.26864167018958</v>
      </c>
      <c r="G46" s="1">
        <f t="shared" si="4"/>
        <v>52.14013694597186</v>
      </c>
      <c r="H46" s="44">
        <f aca="true" t="shared" si="7" ref="H46:H74">B46-D46</f>
        <v>660</v>
      </c>
      <c r="I46" s="44">
        <f t="shared" si="5"/>
        <v>5039.500000000001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0.4+0.4</f>
        <v>0.8</v>
      </c>
      <c r="E47" s="1">
        <f>D47/D45*100</f>
        <v>0.013017019753327475</v>
      </c>
      <c r="F47" s="1">
        <f t="shared" si="6"/>
        <v>100</v>
      </c>
      <c r="G47" s="1">
        <f t="shared" si="4"/>
        <v>57.14285714285715</v>
      </c>
      <c r="H47" s="44">
        <f t="shared" si="7"/>
        <v>0</v>
      </c>
      <c r="I47" s="44">
        <f t="shared" si="5"/>
        <v>0.5999999999999999</v>
      </c>
    </row>
    <row r="48" spans="1:9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0.6069185459988935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</row>
    <row r="49" spans="1:9" ht="18">
      <c r="A49" s="23" t="s">
        <v>0</v>
      </c>
      <c r="B49" s="42">
        <v>559</v>
      </c>
      <c r="C49" s="43">
        <v>865.1</v>
      </c>
      <c r="D49" s="44">
        <f>3.1+3.5+1+0.7+59.3+95.2+2.2+6-0.1+53.5+89.7+6.2+7.2+73.9+0.4+4+3.2+30.6+0.2+2.7+3.1+5.4+3.6</f>
        <v>454.59999999999997</v>
      </c>
      <c r="E49" s="1">
        <f>D49/D45*100</f>
        <v>7.396921474828336</v>
      </c>
      <c r="F49" s="1">
        <f t="shared" si="6"/>
        <v>81.32379248658317</v>
      </c>
      <c r="G49" s="1">
        <f t="shared" si="4"/>
        <v>52.54883828459137</v>
      </c>
      <c r="H49" s="44">
        <f t="shared" si="7"/>
        <v>104.40000000000003</v>
      </c>
      <c r="I49" s="44">
        <f t="shared" si="5"/>
        <v>410.50000000000006</v>
      </c>
    </row>
    <row r="50" spans="1:9" ht="18.75" thickBot="1">
      <c r="A50" s="23" t="s">
        <v>28</v>
      </c>
      <c r="B50" s="43">
        <f>B45-B46-B49-B48-B47</f>
        <v>181.79999999999998</v>
      </c>
      <c r="C50" s="43">
        <f>C45-C46-C49-C48-C47</f>
        <v>317.49999999999926</v>
      </c>
      <c r="D50" s="43">
        <f>D45-D46-D49-D48-D47</f>
        <v>162.90000000000128</v>
      </c>
      <c r="E50" s="1">
        <f>D50/D45*100</f>
        <v>2.650590647271328</v>
      </c>
      <c r="F50" s="1">
        <f t="shared" si="6"/>
        <v>89.60396039604032</v>
      </c>
      <c r="G50" s="1">
        <f t="shared" si="4"/>
        <v>51.30708661417375</v>
      </c>
      <c r="H50" s="44">
        <f t="shared" si="7"/>
        <v>18.8999999999987</v>
      </c>
      <c r="I50" s="44">
        <f t="shared" si="5"/>
        <v>154.59999999999798</v>
      </c>
    </row>
    <row r="51" spans="1:9" ht="18.75" thickBot="1">
      <c r="A51" s="22" t="s">
        <v>4</v>
      </c>
      <c r="B51" s="45">
        <f>14265.8+18.8</f>
        <v>14284.599999999999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</f>
        <v>12673.3</v>
      </c>
      <c r="E51" s="3">
        <f>D51/D151*100</f>
        <v>1.3665488239849575</v>
      </c>
      <c r="F51" s="3">
        <f>D51/B51*100</f>
        <v>88.7200201615726</v>
      </c>
      <c r="G51" s="3">
        <f t="shared" si="4"/>
        <v>52.99997072587289</v>
      </c>
      <c r="H51" s="47">
        <f>B51-D51</f>
        <v>1611.2999999999993</v>
      </c>
      <c r="I51" s="47">
        <f t="shared" si="5"/>
        <v>11238.599999999999</v>
      </c>
    </row>
    <row r="52" spans="1:9" ht="18">
      <c r="A52" s="23" t="s">
        <v>3</v>
      </c>
      <c r="B52" s="42">
        <v>9071.4</v>
      </c>
      <c r="C52" s="43">
        <f>16189.8-940.4</f>
        <v>15249.4</v>
      </c>
      <c r="D52" s="44">
        <f>392.4+738.8+389.6+752.9+403.1+730.4+397.8+724.9+1.1+0.1+403+795.7+527.1+1240.6+386.5+33.7</f>
        <v>7917.7</v>
      </c>
      <c r="E52" s="1">
        <f>D52/D51*100</f>
        <v>62.47544049300499</v>
      </c>
      <c r="F52" s="1">
        <f t="shared" si="6"/>
        <v>87.28200718742421</v>
      </c>
      <c r="G52" s="1">
        <f t="shared" si="4"/>
        <v>51.92138707096673</v>
      </c>
      <c r="H52" s="44">
        <f t="shared" si="7"/>
        <v>1153.6999999999998</v>
      </c>
      <c r="I52" s="44">
        <f t="shared" si="5"/>
        <v>7331.7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466.8</v>
      </c>
      <c r="C54" s="43">
        <v>810.2</v>
      </c>
      <c r="D54" s="44">
        <f>1.9+1.9+0.5+7.4+2.1+1.2+12.9+5.1+0.1+4.5+16.8+19.2+9.7+3.1+1.1+1.4+2.5+5.7+19.9+0.8+28.2+4+19.8+8.2+38.7+4.3+0.2+18.2+4.3+27.9+3.9+3+21+4+9.4+2.4+4.7+1.2+8.1+6.9</f>
        <v>336.1999999999999</v>
      </c>
      <c r="E54" s="1">
        <f>D54/D51*100</f>
        <v>2.652821285695122</v>
      </c>
      <c r="F54" s="1">
        <f t="shared" si="6"/>
        <v>72.02227934875746</v>
      </c>
      <c r="G54" s="1">
        <f t="shared" si="4"/>
        <v>41.4959269316218</v>
      </c>
      <c r="H54" s="44">
        <f t="shared" si="7"/>
        <v>130.60000000000014</v>
      </c>
      <c r="I54" s="44">
        <f t="shared" si="5"/>
        <v>474.00000000000017</v>
      </c>
    </row>
    <row r="55" spans="1:9" ht="18">
      <c r="A55" s="23" t="s">
        <v>0</v>
      </c>
      <c r="B55" s="42">
        <v>580.2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</f>
        <v>498.60000000000014</v>
      </c>
      <c r="E55" s="1">
        <f>D55/D51*100</f>
        <v>3.9342554819975866</v>
      </c>
      <c r="F55" s="1">
        <f t="shared" si="6"/>
        <v>85.93588417786971</v>
      </c>
      <c r="G55" s="1">
        <f t="shared" si="4"/>
        <v>46.918227157241</v>
      </c>
      <c r="H55" s="44">
        <f t="shared" si="7"/>
        <v>81.59999999999991</v>
      </c>
      <c r="I55" s="44">
        <f t="shared" si="5"/>
        <v>564.0999999999999</v>
      </c>
    </row>
    <row r="56" spans="1:9" ht="18">
      <c r="A56" s="23" t="s">
        <v>14</v>
      </c>
      <c r="B56" s="42">
        <v>286.5</v>
      </c>
      <c r="C56" s="43">
        <v>518.9</v>
      </c>
      <c r="D56" s="43">
        <f>34+46+40+40+40+40</f>
        <v>240</v>
      </c>
      <c r="E56" s="1">
        <f>D56/D51*100</f>
        <v>1.8937451176883686</v>
      </c>
      <c r="F56" s="1">
        <f>D56/B56*100</f>
        <v>83.7696335078534</v>
      </c>
      <c r="G56" s="1">
        <f>D56/C56*100</f>
        <v>46.25168625939487</v>
      </c>
      <c r="H56" s="44">
        <f t="shared" si="7"/>
        <v>46.5</v>
      </c>
      <c r="I56" s="44">
        <f t="shared" si="5"/>
        <v>278.9</v>
      </c>
    </row>
    <row r="57" spans="1:9" ht="18.75" thickBot="1">
      <c r="A57" s="23" t="s">
        <v>28</v>
      </c>
      <c r="B57" s="43">
        <f>B51-B52-B55-B54-B53-B56</f>
        <v>3879.699999999999</v>
      </c>
      <c r="C57" s="43">
        <f>C51-C52-C55-C54-C53-C56</f>
        <v>6257.699999999999</v>
      </c>
      <c r="D57" s="43">
        <f>D51-D52-D55-D54-D53-D56</f>
        <v>3680.7999999999993</v>
      </c>
      <c r="E57" s="1">
        <f>D57/D51*100</f>
        <v>29.043737621613943</v>
      </c>
      <c r="F57" s="1">
        <f t="shared" si="6"/>
        <v>94.873314947032</v>
      </c>
      <c r="G57" s="1">
        <f t="shared" si="4"/>
        <v>58.82033334931365</v>
      </c>
      <c r="H57" s="44">
        <f>B57-D57</f>
        <v>198.89999999999964</v>
      </c>
      <c r="I57" s="44">
        <f>C57-D57</f>
        <v>2576.8999999999996</v>
      </c>
    </row>
    <row r="58" spans="1:9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4517.5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55.6+0.2+146.1+0.4+60.8+0.4+59.3+73.6+0.1+18.6+1.9+67.3+0.4+57.5+0.6+144.6-4.5+32.9+1.2+79.7+73.5+4+0.1+78.7+72.2+0.1+9.9+53+0.1+12.7+6.3+29.9+85.7+69.4+15.3+39.7+11.2+39.1+0.1+101.9+64.5+93.3+45.9+65.6+272.8</f>
        <v>2041.7000000000003</v>
      </c>
      <c r="E59" s="3">
        <f>D59/D151*100</f>
        <v>0.22015439813861332</v>
      </c>
      <c r="F59" s="3">
        <f>D59/B59*100</f>
        <v>45.195351411178756</v>
      </c>
      <c r="G59" s="3">
        <f t="shared" si="4"/>
        <v>26.46025842070476</v>
      </c>
      <c r="H59" s="47">
        <f>B59-D59</f>
        <v>2475.7999999999997</v>
      </c>
      <c r="I59" s="47">
        <f t="shared" si="5"/>
        <v>5674.4</v>
      </c>
    </row>
    <row r="60" spans="1:9" ht="18">
      <c r="A60" s="23" t="s">
        <v>3</v>
      </c>
      <c r="B60" s="42">
        <v>1492.8</v>
      </c>
      <c r="C60" s="43">
        <f>2900.3-339.6</f>
        <v>2560.7000000000003</v>
      </c>
      <c r="D60" s="44">
        <f>55.6+146.1+60.8+59.3+73.6+0.1+67.3+144.6-4.5+79.7+66.8+72.2-0.1+53+75.7+69.4+0.1+39.1+101.5+64.4+45.9+64.5</f>
        <v>1335.1000000000001</v>
      </c>
      <c r="E60" s="1">
        <f>D60/D59*100</f>
        <v>65.39158544350296</v>
      </c>
      <c r="F60" s="1">
        <f t="shared" si="6"/>
        <v>89.43595927116829</v>
      </c>
      <c r="G60" s="1">
        <f t="shared" si="4"/>
        <v>52.138087241769824</v>
      </c>
      <c r="H60" s="44">
        <f t="shared" si="7"/>
        <v>157.69999999999982</v>
      </c>
      <c r="I60" s="44">
        <f t="shared" si="5"/>
        <v>1225.6000000000001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f>3.2+187.6</f>
        <v>190.79999999999998</v>
      </c>
      <c r="E61" s="1">
        <f>D61/D59*100</f>
        <v>9.345153548513492</v>
      </c>
      <c r="F61" s="1">
        <f>D61/B61*100</f>
        <v>55.51352924061681</v>
      </c>
      <c r="G61" s="1">
        <f t="shared" si="4"/>
        <v>55.51352924061681</v>
      </c>
      <c r="H61" s="44">
        <f t="shared" si="7"/>
        <v>152.9</v>
      </c>
      <c r="I61" s="44">
        <f t="shared" si="5"/>
        <v>152.90000000000006</v>
      </c>
    </row>
    <row r="62" spans="1:9" ht="18">
      <c r="A62" s="23" t="s">
        <v>0</v>
      </c>
      <c r="B62" s="42">
        <v>220.6</v>
      </c>
      <c r="C62" s="43">
        <f>451.8-38.9</f>
        <v>412.90000000000003</v>
      </c>
      <c r="D62" s="44">
        <f>0.4+18.6+55.1+0.5+32.9+0.7+67.5+3.7+0.4+6.3+12.6+0.1+4.2+0.1+1.9+0.5</f>
        <v>205.49999999999997</v>
      </c>
      <c r="E62" s="1">
        <f>D62/D59*100</f>
        <v>10.065141793603367</v>
      </c>
      <c r="F62" s="1">
        <f t="shared" si="6"/>
        <v>93.15503173164097</v>
      </c>
      <c r="G62" s="1">
        <f t="shared" si="4"/>
        <v>49.76992007750059</v>
      </c>
      <c r="H62" s="44">
        <f t="shared" si="7"/>
        <v>15.100000000000023</v>
      </c>
      <c r="I62" s="44">
        <f t="shared" si="5"/>
        <v>207.40000000000006</v>
      </c>
    </row>
    <row r="63" spans="1:9" ht="18">
      <c r="A63" s="23" t="s">
        <v>14</v>
      </c>
      <c r="B63" s="42">
        <v>2124.5</v>
      </c>
      <c r="C63" s="43">
        <v>3707.1</v>
      </c>
      <c r="D63" s="44">
        <v>89.8</v>
      </c>
      <c r="E63" s="1">
        <f>D63/D59*100</f>
        <v>4.398295538032031</v>
      </c>
      <c r="F63" s="1">
        <f t="shared" si="6"/>
        <v>4.226876912214639</v>
      </c>
      <c r="G63" s="1">
        <f t="shared" si="4"/>
        <v>2.422378678751585</v>
      </c>
      <c r="H63" s="44">
        <f t="shared" si="7"/>
        <v>2034.7</v>
      </c>
      <c r="I63" s="44">
        <f t="shared" si="5"/>
        <v>3617.2999999999997</v>
      </c>
    </row>
    <row r="64" spans="1:9" ht="18.75" thickBot="1">
      <c r="A64" s="23" t="s">
        <v>28</v>
      </c>
      <c r="B64" s="43">
        <f>B59-B60-B62-B63-B61</f>
        <v>335.8999999999999</v>
      </c>
      <c r="C64" s="43">
        <f>C59-C60-C62-C63-C61</f>
        <v>691.7</v>
      </c>
      <c r="D64" s="43">
        <f>D59-D60-D62-D63-D61</f>
        <v>220.50000000000014</v>
      </c>
      <c r="E64" s="1">
        <f>D64/D59*100</f>
        <v>10.799823676348147</v>
      </c>
      <c r="F64" s="1">
        <f t="shared" si="6"/>
        <v>65.64453706460262</v>
      </c>
      <c r="G64" s="1">
        <f t="shared" si="4"/>
        <v>31.87798178401043</v>
      </c>
      <c r="H64" s="44">
        <f t="shared" si="7"/>
        <v>115.39999999999978</v>
      </c>
      <c r="I64" s="44">
        <f t="shared" si="5"/>
        <v>471.19999999999993</v>
      </c>
    </row>
    <row r="65" spans="1:9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338.2</v>
      </c>
      <c r="C69" s="46">
        <f>C70+C71</f>
        <v>417</v>
      </c>
      <c r="D69" s="47">
        <f>SUM(D70:D71)</f>
        <v>242.49999999999997</v>
      </c>
      <c r="E69" s="35">
        <f>D69/D151*100</f>
        <v>0.026148524047907972</v>
      </c>
      <c r="F69" s="3">
        <f>D69/B69*100</f>
        <v>71.70313424009461</v>
      </c>
      <c r="G69" s="3">
        <f t="shared" si="4"/>
        <v>58.15347721822541</v>
      </c>
      <c r="H69" s="47">
        <f>B69-D69</f>
        <v>95.70000000000002</v>
      </c>
      <c r="I69" s="47">
        <f t="shared" si="5"/>
        <v>174.50000000000003</v>
      </c>
    </row>
    <row r="70" spans="1:9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</row>
    <row r="71" spans="1:9" ht="18.75" thickBot="1">
      <c r="A71" s="23" t="s">
        <v>9</v>
      </c>
      <c r="B71" s="42">
        <f>70.8-19.6</f>
        <v>51.199999999999996</v>
      </c>
      <c r="C71" s="43">
        <f>267.3-68.6-27.9+0.7-15-6.9-19.6</f>
        <v>130</v>
      </c>
      <c r="D71" s="44">
        <f>6.5</f>
        <v>6.5</v>
      </c>
      <c r="E71" s="1">
        <f>D71/D70*100</f>
        <v>2.7542372881355934</v>
      </c>
      <c r="F71" s="1">
        <f t="shared" si="6"/>
        <v>12.6953125</v>
      </c>
      <c r="G71" s="1">
        <f t="shared" si="4"/>
        <v>5</v>
      </c>
      <c r="H71" s="44">
        <f t="shared" si="7"/>
        <v>44.699999999999996</v>
      </c>
      <c r="I71" s="44">
        <f t="shared" si="5"/>
        <v>123.5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94805.7-200</f>
        <v>94605.7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</f>
        <v>62814.000000000015</v>
      </c>
      <c r="E90" s="3">
        <f>D90/D151*100</f>
        <v>6.773168616681617</v>
      </c>
      <c r="F90" s="3">
        <f aca="true" t="shared" si="10" ref="F90:F96">D90/B90*100</f>
        <v>66.39557658788003</v>
      </c>
      <c r="G90" s="3">
        <f t="shared" si="8"/>
        <v>39.691661995931895</v>
      </c>
      <c r="H90" s="47">
        <f aca="true" t="shared" si="11" ref="H90:H96">B90-D90</f>
        <v>31791.699999999983</v>
      </c>
      <c r="I90" s="47">
        <f t="shared" si="9"/>
        <v>95440.89999999998</v>
      </c>
    </row>
    <row r="91" spans="1:9" ht="18">
      <c r="A91" s="23" t="s">
        <v>3</v>
      </c>
      <c r="B91" s="42">
        <v>87574.6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+20.3+42.5+31.7+336.3+2638.1</f>
        <v>58003.40000000001</v>
      </c>
      <c r="E91" s="1">
        <f>D91/D90*100</f>
        <v>92.34151622249817</v>
      </c>
      <c r="F91" s="1">
        <f t="shared" si="10"/>
        <v>66.23313152443745</v>
      </c>
      <c r="G91" s="1">
        <f t="shared" si="8"/>
        <v>39.261600276710375</v>
      </c>
      <c r="H91" s="44">
        <f t="shared" si="11"/>
        <v>29571.199999999997</v>
      </c>
      <c r="I91" s="44">
        <f t="shared" si="9"/>
        <v>89732.3</v>
      </c>
    </row>
    <row r="92" spans="1:9" ht="18">
      <c r="A92" s="23" t="s">
        <v>26</v>
      </c>
      <c r="B92" s="42">
        <f>1734.9-265.3</f>
        <v>1469.6000000000001</v>
      </c>
      <c r="C92" s="43">
        <v>2620.6</v>
      </c>
      <c r="D92" s="44">
        <f>48.5+5.1+5+1.3+22.8+67.3+62.7+3.5+1.4+40.6+112.7+571.4+55.5+1.7+2.4+3.1+83.6+0.9+1.4+3.5+0.9+23.5+44.4+1+13.6+0.7-0.1+42.8+22.3+44</f>
        <v>1287.5000000000002</v>
      </c>
      <c r="E92" s="1">
        <f>D92/D90*100</f>
        <v>2.0497022956665707</v>
      </c>
      <c r="F92" s="1">
        <f t="shared" si="10"/>
        <v>87.60887316276539</v>
      </c>
      <c r="G92" s="1">
        <f t="shared" si="8"/>
        <v>49.12997023582387</v>
      </c>
      <c r="H92" s="44">
        <f t="shared" si="11"/>
        <v>182.0999999999999</v>
      </c>
      <c r="I92" s="44">
        <f t="shared" si="9"/>
        <v>1333.0999999999997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5561.499999999991</v>
      </c>
      <c r="C94" s="43">
        <f>C90-C91-C92-C93</f>
        <v>7898.599999999982</v>
      </c>
      <c r="D94" s="43">
        <f>D90-D91-D92-D93</f>
        <v>3523.100000000006</v>
      </c>
      <c r="E94" s="1">
        <f>D94/D90*100</f>
        <v>5.608781481835267</v>
      </c>
      <c r="F94" s="1">
        <f t="shared" si="10"/>
        <v>63.34801762114558</v>
      </c>
      <c r="G94" s="1">
        <f>D94/C94*100</f>
        <v>44.60410705694697</v>
      </c>
      <c r="H94" s="44">
        <f t="shared" si="11"/>
        <v>2038.399999999985</v>
      </c>
      <c r="I94" s="44">
        <f>C94-D94</f>
        <v>4375.499999999976</v>
      </c>
    </row>
    <row r="95" spans="1:9" ht="18.75">
      <c r="A95" s="108" t="s">
        <v>12</v>
      </c>
      <c r="B95" s="128">
        <f>38014.2-50+165-200+149.8</f>
        <v>38079</v>
      </c>
      <c r="C95" s="112">
        <f>59880.5+5316.8+172.8+165-2871.1</f>
        <v>62664.00000000001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</f>
        <v>36130.5</v>
      </c>
      <c r="E95" s="107">
        <f>D95/D151*100</f>
        <v>3.895914425207997</v>
      </c>
      <c r="F95" s="110">
        <f t="shared" si="10"/>
        <v>94.8830063814701</v>
      </c>
      <c r="G95" s="106">
        <f>D95/C95*100</f>
        <v>57.65750670241287</v>
      </c>
      <c r="H95" s="111">
        <f t="shared" si="11"/>
        <v>1948.5</v>
      </c>
      <c r="I95" s="121">
        <f>C95-D95</f>
        <v>26533.500000000007</v>
      </c>
    </row>
    <row r="96" spans="1:9" ht="18.75" thickBot="1">
      <c r="A96" s="109" t="s">
        <v>84</v>
      </c>
      <c r="B96" s="113">
        <v>5759</v>
      </c>
      <c r="C96" s="114">
        <f>10660.3-133.5+11.8</f>
        <v>10538.599999999999</v>
      </c>
      <c r="D96" s="115">
        <f>69.1+1043.7+68.3+1051.8+1+68.3+66.1+938.4+3+68.7+11.3+4.3+734+67.7+6.3+0.4+21.5+2.2+658.8+0.1+17.8+130.4+525.1</f>
        <v>5558.3</v>
      </c>
      <c r="E96" s="116">
        <f>D96/D95*100</f>
        <v>15.383955383955383</v>
      </c>
      <c r="F96" s="117">
        <f t="shared" si="10"/>
        <v>96.51501996874458</v>
      </c>
      <c r="G96" s="118">
        <f>D96/C96*100</f>
        <v>52.742299736207855</v>
      </c>
      <c r="H96" s="122">
        <f t="shared" si="11"/>
        <v>200.69999999999982</v>
      </c>
      <c r="I96" s="123">
        <f>C96-D96</f>
        <v>4980.299999999998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f>7846.8+8.7</f>
        <v>7855.5</v>
      </c>
      <c r="C102" s="92">
        <f>12999.2-348+46.7-53.7+124.7-124.6+10.7+5.1+0.1</f>
        <v>12660.200000000003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</f>
        <v>5919.699999999999</v>
      </c>
      <c r="E102" s="19">
        <f>D102/D151*100</f>
        <v>0.6383151249748488</v>
      </c>
      <c r="F102" s="19">
        <f>D102/B102*100</f>
        <v>75.35739290942651</v>
      </c>
      <c r="G102" s="19">
        <f aca="true" t="shared" si="12" ref="G102:G149">D102/C102*100</f>
        <v>46.75834504984122</v>
      </c>
      <c r="H102" s="79">
        <f aca="true" t="shared" si="13" ref="H102:H107">B102-D102</f>
        <v>1935.800000000001</v>
      </c>
      <c r="I102" s="79">
        <f aca="true" t="shared" si="14" ref="I102:I149">C102-D102</f>
        <v>6740.500000000004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17.3+10+11+0.1+10.9+18.9+0.1+11+25.2+18.3</f>
        <v>122.79999999999998</v>
      </c>
      <c r="E103" s="83">
        <f>D103/D102*100</f>
        <v>2.074429447438215</v>
      </c>
      <c r="F103" s="1">
        <f>D103/B103*100</f>
        <v>84.39862542955325</v>
      </c>
      <c r="G103" s="83">
        <f>D103/C103*100</f>
        <v>47.394828251640284</v>
      </c>
      <c r="H103" s="87">
        <f t="shared" si="13"/>
        <v>22.700000000000017</v>
      </c>
      <c r="I103" s="87">
        <f t="shared" si="14"/>
        <v>136.30000000000004</v>
      </c>
    </row>
    <row r="104" spans="1:9" ht="18">
      <c r="A104" s="85" t="s">
        <v>49</v>
      </c>
      <c r="B104" s="74">
        <f>6441.8+8.7</f>
        <v>6450.5</v>
      </c>
      <c r="C104" s="44">
        <f>10720.8-348+46.7-56.3+125.1-124.6-51.5+5.1</f>
        <v>10317.300000000001</v>
      </c>
      <c r="D104" s="44">
        <f>139.3+4+202+15.3-0.1+4+25.4+141.4+9.8+31.2+1.1+390.1+50+2+0.1+51.6+111.9+69.9+132+193.8+143.3+175.1+39.1+393+24.9+117+131.2+30.6+5+5+134.6+137.3+5+34.9+31.2+66.7+136.1+61.2+82.4+574+566.9+64.7+43+15.7+140+40.1+6+29.7+8+7+16.7+18.1+20.7+40</f>
        <v>4918.999999999999</v>
      </c>
      <c r="E104" s="1">
        <f>D104/D102*100</f>
        <v>83.09542713313175</v>
      </c>
      <c r="F104" s="1">
        <f aca="true" t="shared" si="15" ref="F104:F149">D104/B104*100</f>
        <v>76.25765444539182</v>
      </c>
      <c r="G104" s="1">
        <f t="shared" si="12"/>
        <v>47.677202368836795</v>
      </c>
      <c r="H104" s="44">
        <f t="shared" si="13"/>
        <v>1531.500000000001</v>
      </c>
      <c r="I104" s="44">
        <f t="shared" si="14"/>
        <v>5398.300000000002</v>
      </c>
    </row>
    <row r="105" spans="1:9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1259.5</v>
      </c>
      <c r="C106" s="88">
        <f>C102-C103-C104</f>
        <v>2083.800000000001</v>
      </c>
      <c r="D106" s="88">
        <f>D102-D103-D104</f>
        <v>877.8999999999996</v>
      </c>
      <c r="E106" s="84">
        <f>D106/D102*100</f>
        <v>14.830143419430037</v>
      </c>
      <c r="F106" s="84">
        <f t="shared" si="15"/>
        <v>69.70226280269945</v>
      </c>
      <c r="G106" s="84">
        <f t="shared" si="12"/>
        <v>42.129762933102946</v>
      </c>
      <c r="H106" s="123">
        <f>B106-D106</f>
        <v>381.60000000000036</v>
      </c>
      <c r="I106" s="123">
        <f t="shared" si="14"/>
        <v>1205.9000000000015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233522.40000000002</v>
      </c>
      <c r="C107" s="81">
        <f>SUM(C108:C148)-C115-C119+C149-C140-C141-C109-C112-C122-C123-C138-C131-C129-C136</f>
        <v>537935.7</v>
      </c>
      <c r="D107" s="81">
        <f>SUM(D108:D148)-D115-D119+D149-D140-D141-D109-D112-D122-D123-D138-D131-D129-D136</f>
        <v>188006.59999999998</v>
      </c>
      <c r="E107" s="82">
        <f>D107/D151*100</f>
        <v>20.27255711862027</v>
      </c>
      <c r="F107" s="82">
        <f>D107/B107*100</f>
        <v>80.50902183259505</v>
      </c>
      <c r="G107" s="82">
        <f t="shared" si="12"/>
        <v>34.94964175086353</v>
      </c>
      <c r="H107" s="81">
        <f t="shared" si="13"/>
        <v>45515.80000000005</v>
      </c>
      <c r="I107" s="81">
        <f t="shared" si="14"/>
        <v>349929.1</v>
      </c>
    </row>
    <row r="108" spans="1:9" ht="37.5">
      <c r="A108" s="28" t="s">
        <v>53</v>
      </c>
      <c r="B108" s="71">
        <v>2445.4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</f>
        <v>1158.7000000000003</v>
      </c>
      <c r="E108" s="6">
        <f>D108/D107*100</f>
        <v>0.6163081508840649</v>
      </c>
      <c r="F108" s="6">
        <f t="shared" si="15"/>
        <v>47.38284125296476</v>
      </c>
      <c r="G108" s="6">
        <f t="shared" si="12"/>
        <v>28.291337044633273</v>
      </c>
      <c r="H108" s="61">
        <f aca="true" t="shared" si="16" ref="H108:H149">B108-D108</f>
        <v>1286.6999999999998</v>
      </c>
      <c r="I108" s="61">
        <f t="shared" si="14"/>
        <v>2936.8999999999996</v>
      </c>
    </row>
    <row r="109" spans="1:9" ht="18">
      <c r="A109" s="23" t="s">
        <v>26</v>
      </c>
      <c r="B109" s="74">
        <v>1545.9</v>
      </c>
      <c r="C109" s="44">
        <v>2633.8</v>
      </c>
      <c r="D109" s="75">
        <f>68.3+138.7+47.8+60.9+18.1+30+81.4+40.6+14.7+2.7+31.2</f>
        <v>534.4000000000001</v>
      </c>
      <c r="E109" s="1">
        <f>D109/D108*100</f>
        <v>46.120652455337876</v>
      </c>
      <c r="F109" s="1">
        <f t="shared" si="15"/>
        <v>34.56885956400802</v>
      </c>
      <c r="G109" s="1">
        <f t="shared" si="12"/>
        <v>20.290075176550992</v>
      </c>
      <c r="H109" s="44">
        <f t="shared" si="16"/>
        <v>1011.5</v>
      </c>
      <c r="I109" s="44">
        <f t="shared" si="14"/>
        <v>2099.4</v>
      </c>
    </row>
    <row r="110" spans="1:9" ht="34.5" customHeight="1">
      <c r="A110" s="16" t="s">
        <v>79</v>
      </c>
      <c r="B110" s="73">
        <v>763.4</v>
      </c>
      <c r="C110" s="61">
        <v>1175.4</v>
      </c>
      <c r="D110" s="72">
        <f>11.8+87.5+28+44.4+7.5+8.9+32.2</f>
        <v>220.3</v>
      </c>
      <c r="E110" s="6">
        <f>D110/D107*100</f>
        <v>0.11717673741241001</v>
      </c>
      <c r="F110" s="6">
        <f>D110/B110*100</f>
        <v>28.85774168194918</v>
      </c>
      <c r="G110" s="6">
        <f t="shared" si="12"/>
        <v>18.742555725710396</v>
      </c>
      <c r="H110" s="61">
        <f t="shared" si="16"/>
        <v>543.0999999999999</v>
      </c>
      <c r="I110" s="61">
        <f t="shared" si="14"/>
        <v>955.1000000000001</v>
      </c>
    </row>
    <row r="111" spans="1:9" s="37" customFormat="1" ht="34.5" customHeight="1">
      <c r="A111" s="16" t="s">
        <v>98</v>
      </c>
      <c r="B111" s="73">
        <v>168.2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168.2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</f>
        <v>28</v>
      </c>
      <c r="E113" s="6">
        <f>D113/D107*100</f>
        <v>0.014893094178608627</v>
      </c>
      <c r="F113" s="6">
        <f t="shared" si="15"/>
        <v>46.666666666666664</v>
      </c>
      <c r="G113" s="6">
        <f t="shared" si="12"/>
        <v>46.666666666666664</v>
      </c>
      <c r="H113" s="61">
        <f t="shared" si="16"/>
        <v>32</v>
      </c>
      <c r="I113" s="61">
        <f t="shared" si="14"/>
        <v>32</v>
      </c>
    </row>
    <row r="114" spans="1:9" ht="37.5">
      <c r="A114" s="16" t="s">
        <v>39</v>
      </c>
      <c r="B114" s="73">
        <v>1760.5</v>
      </c>
      <c r="C114" s="61">
        <f>2915.4+6.2</f>
        <v>2921.6</v>
      </c>
      <c r="D114" s="72">
        <f>136.4+40+10+2+0.1+10.6+142+54.3+10.6+6.6+21.9+41.3+8.2+239.5+0.2+6.2+0.7+26.9+145.7+54.9+4+2+1.1+3.5+2.2+195.9+3.8+0.4+0.2+181.5+10+1.7+7.3</f>
        <v>1371.7000000000003</v>
      </c>
      <c r="E114" s="6">
        <f>D114/D107*100</f>
        <v>0.7296020458856234</v>
      </c>
      <c r="F114" s="6">
        <f t="shared" si="15"/>
        <v>77.91536495313834</v>
      </c>
      <c r="G114" s="6">
        <f t="shared" si="12"/>
        <v>46.95030120481929</v>
      </c>
      <c r="H114" s="61">
        <f t="shared" si="16"/>
        <v>388.7999999999997</v>
      </c>
      <c r="I114" s="61">
        <f t="shared" si="14"/>
        <v>1549.8999999999996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>
        <f>18</f>
        <v>18</v>
      </c>
      <c r="E117" s="6">
        <f>D117/D107*100</f>
        <v>0.009574131971962687</v>
      </c>
      <c r="F117" s="6">
        <f>D117/B117*100</f>
        <v>18.181818181818183</v>
      </c>
      <c r="G117" s="6">
        <f t="shared" si="12"/>
        <v>9.045226130653267</v>
      </c>
      <c r="H117" s="61">
        <f t="shared" si="16"/>
        <v>81</v>
      </c>
      <c r="I117" s="61">
        <f t="shared" si="14"/>
        <v>181</v>
      </c>
    </row>
    <row r="118" spans="1:9" s="2" customFormat="1" ht="18.75">
      <c r="A118" s="16" t="s">
        <v>15</v>
      </c>
      <c r="B118" s="73">
        <v>238.3</v>
      </c>
      <c r="C118" s="53">
        <v>422.8</v>
      </c>
      <c r="D118" s="72">
        <f>39+5+6.2+39.1+4.9+0.4+0.8+39+0.1+5.5+0.9+39+4.8+1.3+39-0.1+0.8+0.4+5+0.8+5.1</f>
        <v>237.00000000000009</v>
      </c>
      <c r="E118" s="6">
        <f>D118/D107*100</f>
        <v>0.12605940429750878</v>
      </c>
      <c r="F118" s="6">
        <f t="shared" si="15"/>
        <v>99.45446915652542</v>
      </c>
      <c r="G118" s="6">
        <f t="shared" si="12"/>
        <v>56.05487228003786</v>
      </c>
      <c r="H118" s="61">
        <f t="shared" si="16"/>
        <v>1.299999999999926</v>
      </c>
      <c r="I118" s="61">
        <f t="shared" si="14"/>
        <v>185.79999999999993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82.36286919831221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155</v>
      </c>
      <c r="C121" s="53">
        <v>520</v>
      </c>
      <c r="D121" s="76">
        <f>49.4+11+30.6</f>
        <v>91</v>
      </c>
      <c r="E121" s="17">
        <f>D121/D107*100</f>
        <v>0.04840255608047803</v>
      </c>
      <c r="F121" s="6">
        <f t="shared" si="15"/>
        <v>58.70967741935483</v>
      </c>
      <c r="G121" s="6">
        <f t="shared" si="12"/>
        <v>17.5</v>
      </c>
      <c r="H121" s="61">
        <f t="shared" si="16"/>
        <v>64</v>
      </c>
      <c r="I121" s="61">
        <f t="shared" si="14"/>
        <v>429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f>22896.2-200+200</f>
        <v>22896.2</v>
      </c>
      <c r="C124" s="53">
        <f>33585.8+9933.2-1212.8-350</f>
        <v>41956.2</v>
      </c>
      <c r="D124" s="76">
        <f>3483.8+2635.6+1853.3+812.9+1333.3+1694.1+1722.4+661.9+934+1328+225+1781.5+1097.2+0.1+1902.6+1343</f>
        <v>22808.699999999997</v>
      </c>
      <c r="E124" s="17">
        <f>D124/D107*100</f>
        <v>12.131861328272517</v>
      </c>
      <c r="F124" s="6">
        <f t="shared" si="15"/>
        <v>99.61784051501994</v>
      </c>
      <c r="G124" s="6">
        <f t="shared" si="12"/>
        <v>54.36312154103565</v>
      </c>
      <c r="H124" s="61">
        <f t="shared" si="16"/>
        <v>87.50000000000364</v>
      </c>
      <c r="I124" s="61">
        <f t="shared" si="14"/>
        <v>19147.5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0.008510339530633501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0.010478355547092496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847.5</v>
      </c>
      <c r="C128" s="53">
        <v>1253.3</v>
      </c>
      <c r="D128" s="76">
        <f>6.5+6.7+0.9+10.2+6.4+2.4+29+2.5+26.7+1.1+7.5+20.9+3.3+0.1+0.1+0.6+54.3+6.4+19+0.1+6.4-0.1+0.9+1+0.1+24+11.8+60.3+1.8+4+2+10.5+0.5+0.1+1.1+56.8+0.1-0.1+8.7</f>
        <v>394.6</v>
      </c>
      <c r="E128" s="17">
        <f>D128/D107*100</f>
        <v>0.2098862486742487</v>
      </c>
      <c r="F128" s="6">
        <f t="shared" si="15"/>
        <v>46.56047197640118</v>
      </c>
      <c r="G128" s="6">
        <f t="shared" si="12"/>
        <v>31.48487991701907</v>
      </c>
      <c r="H128" s="61">
        <f t="shared" si="16"/>
        <v>452.9</v>
      </c>
      <c r="I128" s="61">
        <f t="shared" si="14"/>
        <v>858.6999999999999</v>
      </c>
    </row>
    <row r="129" spans="1:9" s="32" customFormat="1" ht="18">
      <c r="A129" s="23" t="s">
        <v>89</v>
      </c>
      <c r="B129" s="74">
        <v>231</v>
      </c>
      <c r="C129" s="44">
        <v>459.6</v>
      </c>
      <c r="D129" s="75">
        <f>6.4+6.4+6.4+6.4+6.4+24+6.4+56.8+6.4</f>
        <v>125.6</v>
      </c>
      <c r="E129" s="1">
        <f>D129/D128*100</f>
        <v>31.8297009630005</v>
      </c>
      <c r="F129" s="1">
        <f>D129/B129*100</f>
        <v>54.37229437229437</v>
      </c>
      <c r="G129" s="1">
        <f t="shared" si="12"/>
        <v>27.328111401218447</v>
      </c>
      <c r="H129" s="44">
        <f t="shared" si="16"/>
        <v>105.4</v>
      </c>
      <c r="I129" s="44">
        <f t="shared" si="14"/>
        <v>334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43.1</v>
      </c>
      <c r="C134" s="53">
        <v>108.1</v>
      </c>
      <c r="D134" s="76">
        <f>3.8+10.3+1.3</f>
        <v>15.400000000000002</v>
      </c>
      <c r="E134" s="17">
        <f>D134/D107*100</f>
        <v>0.008191201798234744</v>
      </c>
      <c r="F134" s="6">
        <f t="shared" si="15"/>
        <v>35.730858468677496</v>
      </c>
      <c r="G134" s="6">
        <f t="shared" si="12"/>
        <v>14.246068455134136</v>
      </c>
      <c r="H134" s="61">
        <f t="shared" si="16"/>
        <v>27.7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295</v>
      </c>
      <c r="C135" s="53">
        <v>626.8</v>
      </c>
      <c r="D135" s="76">
        <f>1.2+14.1</f>
        <v>15.299999999999999</v>
      </c>
      <c r="E135" s="17">
        <f>D135/D107*100</f>
        <v>0.008138012176168283</v>
      </c>
      <c r="F135" s="6">
        <f t="shared" si="15"/>
        <v>5.186440677966101</v>
      </c>
      <c r="G135" s="6">
        <f t="shared" si="12"/>
        <v>2.4409700063816206</v>
      </c>
      <c r="H135" s="61">
        <f t="shared" si="16"/>
        <v>279.7</v>
      </c>
      <c r="I135" s="61">
        <f t="shared" si="14"/>
        <v>611.5</v>
      </c>
    </row>
    <row r="136" spans="1:9" s="32" customFormat="1" ht="18">
      <c r="A136" s="23" t="s">
        <v>89</v>
      </c>
      <c r="B136" s="74">
        <v>180</v>
      </c>
      <c r="C136" s="44">
        <v>400</v>
      </c>
      <c r="D136" s="75">
        <f>1.2</f>
        <v>1.2</v>
      </c>
      <c r="E136" s="1"/>
      <c r="F136" s="6">
        <f>D136/B136*100</f>
        <v>0.6666666666666666</v>
      </c>
      <c r="G136" s="1">
        <f>D136/C136*100</f>
        <v>0.3</v>
      </c>
      <c r="H136" s="44">
        <f>B136-D136</f>
        <v>178.8</v>
      </c>
      <c r="I136" s="44">
        <f>C136-D136</f>
        <v>398.8</v>
      </c>
    </row>
    <row r="137" spans="1:9" s="2" customFormat="1" ht="37.5">
      <c r="A137" s="16" t="s">
        <v>85</v>
      </c>
      <c r="B137" s="73">
        <v>248.3</v>
      </c>
      <c r="C137" s="53">
        <v>381.2</v>
      </c>
      <c r="D137" s="76">
        <f>0.5+1.3+15.9+33.5+3+0.6+15.2+1.3+36.5+1.9+0.3+0.3+0.6+5+2+16.5+0.1+0.5+1.2+18.6-0.1+0.3+0.5+0.5+16+2+17.3+2.1</f>
        <v>193.39999999999998</v>
      </c>
      <c r="E137" s="17">
        <f>D137/D107*100</f>
        <v>0.10286872907653243</v>
      </c>
      <c r="F137" s="6">
        <f t="shared" si="15"/>
        <v>77.88964961739829</v>
      </c>
      <c r="G137" s="6">
        <f>D137/C137*100</f>
        <v>50.73452256033578</v>
      </c>
      <c r="H137" s="61">
        <f t="shared" si="16"/>
        <v>54.900000000000034</v>
      </c>
      <c r="I137" s="61">
        <f t="shared" si="14"/>
        <v>187.8</v>
      </c>
    </row>
    <row r="138" spans="1:9" s="32" customFormat="1" ht="18">
      <c r="A138" s="23" t="s">
        <v>26</v>
      </c>
      <c r="B138" s="74">
        <v>201.4</v>
      </c>
      <c r="C138" s="44">
        <v>306.1</v>
      </c>
      <c r="D138" s="75">
        <f>15.9+33.5+15.2+36.5+0.3+4.6+16.5-0.1+1.2+16+0.3+16+0.1</f>
        <v>156</v>
      </c>
      <c r="E138" s="1">
        <f>D138/D137*100</f>
        <v>80.66184074457084</v>
      </c>
      <c r="F138" s="1">
        <f t="shared" si="15"/>
        <v>77.45779543197617</v>
      </c>
      <c r="G138" s="1">
        <f>D138/C138*100</f>
        <v>50.96373734073831</v>
      </c>
      <c r="H138" s="44">
        <f t="shared" si="16"/>
        <v>45.400000000000006</v>
      </c>
      <c r="I138" s="44">
        <f t="shared" si="14"/>
        <v>150.10000000000002</v>
      </c>
    </row>
    <row r="139" spans="1:9" s="2" customFormat="1" ht="18.75">
      <c r="A139" s="16" t="s">
        <v>101</v>
      </c>
      <c r="B139" s="73">
        <v>890.4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</f>
        <v>826.2</v>
      </c>
      <c r="E139" s="17">
        <f>D139/D107*100</f>
        <v>0.4394526575130874</v>
      </c>
      <c r="F139" s="6">
        <f t="shared" si="15"/>
        <v>92.78975741239893</v>
      </c>
      <c r="G139" s="6">
        <f t="shared" si="12"/>
        <v>54.6211820706069</v>
      </c>
      <c r="H139" s="61">
        <f t="shared" si="16"/>
        <v>64.19999999999993</v>
      </c>
      <c r="I139" s="61">
        <f t="shared" si="14"/>
        <v>686.4000000000001</v>
      </c>
    </row>
    <row r="140" spans="1:9" s="32" customFormat="1" ht="18">
      <c r="A140" s="33" t="s">
        <v>44</v>
      </c>
      <c r="B140" s="74">
        <v>679.9</v>
      </c>
      <c r="C140" s="44">
        <f>1063.5+115.2</f>
        <v>1178.7</v>
      </c>
      <c r="D140" s="75">
        <f>26+59.9+27.3+57.1-0.1+46.3+42.7-0.1+36.4+51.8+8.5+28+53.1+4.3+35.3+82.1+45.8+73.5</f>
        <v>677.9</v>
      </c>
      <c r="E140" s="1">
        <f>D140/D139*100</f>
        <v>82.05035100459936</v>
      </c>
      <c r="F140" s="1">
        <f aca="true" t="shared" si="17" ref="F140:F148">D140/B140*100</f>
        <v>99.70583909398441</v>
      </c>
      <c r="G140" s="1">
        <f t="shared" si="12"/>
        <v>57.51251378637482</v>
      </c>
      <c r="H140" s="44">
        <f t="shared" si="16"/>
        <v>2</v>
      </c>
      <c r="I140" s="44">
        <f t="shared" si="14"/>
        <v>500.80000000000007</v>
      </c>
    </row>
    <row r="141" spans="1:9" s="32" customFormat="1" ht="18">
      <c r="A141" s="23" t="s">
        <v>26</v>
      </c>
      <c r="B141" s="74">
        <v>24.5</v>
      </c>
      <c r="C141" s="44">
        <v>37.5</v>
      </c>
      <c r="D141" s="75">
        <f>0.4+5.6+0.6+6+0.1+3.7+0.1+0.4+1+0.3+0.3</f>
        <v>18.5</v>
      </c>
      <c r="E141" s="1">
        <f>D141/D139*100</f>
        <v>2.2391672718470104</v>
      </c>
      <c r="F141" s="1">
        <f t="shared" si="17"/>
        <v>75.51020408163265</v>
      </c>
      <c r="G141" s="1">
        <f>D141/C141*100</f>
        <v>49.333333333333336</v>
      </c>
      <c r="H141" s="44">
        <f t="shared" si="16"/>
        <v>6</v>
      </c>
      <c r="I141" s="44">
        <f t="shared" si="14"/>
        <v>19</v>
      </c>
    </row>
    <row r="142" spans="1:9" s="2" customFormat="1" ht="18.75" customHeight="1">
      <c r="A142" s="18" t="s">
        <v>57</v>
      </c>
      <c r="B142" s="73">
        <f>1452.5+200</f>
        <v>1652.5</v>
      </c>
      <c r="C142" s="53">
        <f>200+300+1250+175</f>
        <v>1925</v>
      </c>
      <c r="D142" s="76">
        <f>300+200</f>
        <v>500</v>
      </c>
      <c r="E142" s="17">
        <f>D142/D107*100</f>
        <v>0.26594811033229687</v>
      </c>
      <c r="F142" s="99">
        <f t="shared" si="17"/>
        <v>30.257186081694403</v>
      </c>
      <c r="G142" s="6">
        <f t="shared" si="12"/>
        <v>25.97402597402597</v>
      </c>
      <c r="H142" s="61">
        <f t="shared" si="16"/>
        <v>1152.5</v>
      </c>
      <c r="I142" s="61">
        <f t="shared" si="14"/>
        <v>1425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102</v>
      </c>
      <c r="B144" s="73">
        <v>21941.5</v>
      </c>
      <c r="C144" s="53">
        <f>67967+150-2500-1878-220</f>
        <v>63519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</f>
        <v>19906.699999999997</v>
      </c>
      <c r="E144" s="17">
        <f>D144/D107*100</f>
        <v>10.588298495903867</v>
      </c>
      <c r="F144" s="99">
        <f t="shared" si="17"/>
        <v>90.72624934484878</v>
      </c>
      <c r="G144" s="6">
        <f t="shared" si="12"/>
        <v>31.339756608258938</v>
      </c>
      <c r="H144" s="61">
        <f t="shared" si="16"/>
        <v>2034.800000000003</v>
      </c>
      <c r="I144" s="61">
        <f t="shared" si="14"/>
        <v>43612.3</v>
      </c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f>125.3</f>
        <v>125.3</v>
      </c>
      <c r="C146" s="53">
        <v>234</v>
      </c>
      <c r="D146" s="76">
        <f>19.2+57.2</f>
        <v>76.4</v>
      </c>
      <c r="E146" s="17">
        <f>D146/D107*100</f>
        <v>0.040636871258774965</v>
      </c>
      <c r="F146" s="99">
        <f t="shared" si="17"/>
        <v>60.97366320830009</v>
      </c>
      <c r="G146" s="6">
        <f t="shared" si="12"/>
        <v>32.64957264957265</v>
      </c>
      <c r="H146" s="61">
        <f t="shared" si="16"/>
        <v>48.89999999999999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f>6849.9+34.9+1.1</f>
        <v>6885.9</v>
      </c>
      <c r="C147" s="53">
        <v>10550.8</v>
      </c>
      <c r="D147" s="76">
        <f>1601.8+39.7+92.5+565.2+121.3+853.6+638.8+424+800.9+24.5+1.5+318.7+33.7+748.2+470.6</f>
        <v>6734.999999999999</v>
      </c>
      <c r="E147" s="17">
        <f>D147/D107*100</f>
        <v>3.582321046176039</v>
      </c>
      <c r="F147" s="99">
        <f t="shared" si="17"/>
        <v>97.80856532915087</v>
      </c>
      <c r="G147" s="6">
        <f t="shared" si="12"/>
        <v>63.834022064677555</v>
      </c>
      <c r="H147" s="61">
        <f t="shared" si="16"/>
        <v>150.90000000000055</v>
      </c>
      <c r="I147" s="61">
        <f t="shared" si="14"/>
        <v>3815.8</v>
      </c>
      <c r="K147" s="38"/>
      <c r="L147" s="38"/>
    </row>
    <row r="148" spans="1:12" s="2" customFormat="1" ht="19.5" customHeight="1">
      <c r="A148" s="16" t="s">
        <v>51</v>
      </c>
      <c r="B148" s="73">
        <f>153791-172.9+364+59-400-0.5</f>
        <v>153640.6</v>
      </c>
      <c r="C148" s="53">
        <f>376354.8-1000+14285.9-198-200-300-15786.4-2950-2519.8+7938.3</f>
        <v>375624.8</v>
      </c>
      <c r="D148" s="76">
        <f>69938.3+2324.7+1312.6+155+2603.6+1211+415+5415.4+691.3+550.4+1878.3+788.4+1157.7+1447.6+460+220+1003.2+463.4+1549.4+4235.7+2898+282.5+3333.1+1785.1+3361.2+0.1+766.9+2135.7+2288.9+1770.1+551.3</f>
        <v>116993.9</v>
      </c>
      <c r="E148" s="17">
        <f>D148/D107*100</f>
        <v>62.228613250811414</v>
      </c>
      <c r="F148" s="6">
        <f t="shared" si="17"/>
        <v>76.14777604357181</v>
      </c>
      <c r="G148" s="6">
        <f t="shared" si="12"/>
        <v>31.14647914621186</v>
      </c>
      <c r="H148" s="61">
        <f t="shared" si="16"/>
        <v>36646.70000000001</v>
      </c>
      <c r="I148" s="61">
        <f t="shared" si="14"/>
        <v>258630.9</v>
      </c>
      <c r="K148" s="91"/>
      <c r="L148" s="38"/>
    </row>
    <row r="149" spans="1:12" s="2" customFormat="1" ht="18.75">
      <c r="A149" s="16" t="s">
        <v>104</v>
      </c>
      <c r="B149" s="73">
        <v>17199.7</v>
      </c>
      <c r="C149" s="53">
        <v>29485.2</v>
      </c>
      <c r="D149" s="76">
        <f>819+819+819.1+819+819+819.1+819+819+819.1+819+819+819.1+819.1+819+819+819+819.1+819+819+819</f>
        <v>16380.6</v>
      </c>
      <c r="E149" s="17">
        <f>D149/D107*100</f>
        <v>8.712779232218445</v>
      </c>
      <c r="F149" s="6">
        <f t="shared" si="15"/>
        <v>95.23770763443548</v>
      </c>
      <c r="G149" s="6">
        <f t="shared" si="12"/>
        <v>55.5553294534207</v>
      </c>
      <c r="H149" s="61">
        <f t="shared" si="16"/>
        <v>819.1000000000004</v>
      </c>
      <c r="I149" s="61">
        <f t="shared" si="14"/>
        <v>13104.6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244416.7</v>
      </c>
      <c r="C150" s="77">
        <f>C43+C69+C72+C77+C79+C87+C102+C107+C100+C84+C98</f>
        <v>554159.5</v>
      </c>
      <c r="D150" s="53">
        <f>D43+D69+D72+D77+D79+D87+D102+D107+D100+D84+D98</f>
        <v>195361.89999999997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1085009.2999999998</v>
      </c>
      <c r="C151" s="47">
        <f>C6+C18+C33+C43+C51+C59+C69+C72+C77+C79+C87+C90+C95+C102+C107+C100+C84+C98+C45</f>
        <v>1885792.2999999996</v>
      </c>
      <c r="D151" s="47">
        <f>D6+D18+D33+D43+D51+D59+D69+D72+D77+D79+D87+D90+D95+D102+D107+D100+D84+D98+D45</f>
        <v>927394.6</v>
      </c>
      <c r="E151" s="31">
        <v>100</v>
      </c>
      <c r="F151" s="3">
        <f>D151/B151*100</f>
        <v>85.47342405267864</v>
      </c>
      <c r="G151" s="3">
        <f aca="true" t="shared" si="18" ref="G151:G157">D151/C151*100</f>
        <v>49.17798211393695</v>
      </c>
      <c r="H151" s="47">
        <f aca="true" t="shared" si="19" ref="H151:H157">B151-D151</f>
        <v>157614.69999999984</v>
      </c>
      <c r="I151" s="47">
        <f aca="true" t="shared" si="20" ref="I151:I157">C151-D151</f>
        <v>958397.6999999996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455988.0000000001</v>
      </c>
      <c r="C152" s="60">
        <f>C8+C20+C34+C52+C60+C91+C115+C119+C46+C140+C131+C103</f>
        <v>728085</v>
      </c>
      <c r="D152" s="60">
        <f>D8+D20+D34+D52+D60+D91+D115+D119+D46+D140+D131+D103</f>
        <v>392831.3</v>
      </c>
      <c r="E152" s="6">
        <f>D152/D151*100</f>
        <v>42.358592555962694</v>
      </c>
      <c r="F152" s="6">
        <f aca="true" t="shared" si="21" ref="F152:F157">D152/B152*100</f>
        <v>86.14948200391235</v>
      </c>
      <c r="G152" s="6">
        <f t="shared" si="18"/>
        <v>53.95404382730038</v>
      </c>
      <c r="H152" s="61">
        <f t="shared" si="19"/>
        <v>63156.70000000013</v>
      </c>
      <c r="I152" s="72">
        <f t="shared" si="20"/>
        <v>335253.7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64445.2</v>
      </c>
      <c r="C153" s="61">
        <f>C11+C23+C36+C55+C62+C92+C49+C141+C109+C112+C96+C138</f>
        <v>102323.1</v>
      </c>
      <c r="D153" s="61">
        <f>D11+D23+D36+D55+D62+D92+D49+D141+D109+D112+D96+D138</f>
        <v>55648.9</v>
      </c>
      <c r="E153" s="6">
        <f>D153/D151*100</f>
        <v>6.0005632985139234</v>
      </c>
      <c r="F153" s="6">
        <f t="shared" si="21"/>
        <v>86.35072899145321</v>
      </c>
      <c r="G153" s="6">
        <f t="shared" si="18"/>
        <v>54.38547112040194</v>
      </c>
      <c r="H153" s="61">
        <f t="shared" si="19"/>
        <v>8796.299999999996</v>
      </c>
      <c r="I153" s="72">
        <f t="shared" si="20"/>
        <v>46674.200000000004</v>
      </c>
      <c r="K153" s="39"/>
      <c r="L153" s="90"/>
    </row>
    <row r="154" spans="1:12" ht="18.75">
      <c r="A154" s="18" t="s">
        <v>1</v>
      </c>
      <c r="B154" s="60">
        <f>B22+B10+B54+B48+B61+B35+B123</f>
        <v>19356.5</v>
      </c>
      <c r="C154" s="60">
        <f>C22+C10+C54+C48+C61+C35+C123</f>
        <v>28689.7</v>
      </c>
      <c r="D154" s="60">
        <f>D22+D10+D54+D48+D61+D35+D123</f>
        <v>18290.3</v>
      </c>
      <c r="E154" s="6">
        <f>D154/D151*100</f>
        <v>1.9722241212101084</v>
      </c>
      <c r="F154" s="6">
        <f t="shared" si="21"/>
        <v>94.49177278950222</v>
      </c>
      <c r="G154" s="6">
        <f t="shared" si="18"/>
        <v>63.75214798342262</v>
      </c>
      <c r="H154" s="61">
        <f t="shared" si="19"/>
        <v>1066.2000000000007</v>
      </c>
      <c r="I154" s="72">
        <f t="shared" si="20"/>
        <v>10399.400000000001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17095.8</v>
      </c>
      <c r="C155" s="60">
        <f>C12+C24+C104+C63+C38+C93+C129+C56+C136</f>
        <v>29512.3</v>
      </c>
      <c r="D155" s="60">
        <f>D12+D24+D104+D63+D38+D93+D129+D56+D136</f>
        <v>12810.1</v>
      </c>
      <c r="E155" s="6">
        <f>D155/D151*100</f>
        <v>1.381299826416932</v>
      </c>
      <c r="F155" s="6">
        <f t="shared" si="21"/>
        <v>74.93126966857358</v>
      </c>
      <c r="G155" s="6">
        <f t="shared" si="18"/>
        <v>43.40596971432251</v>
      </c>
      <c r="H155" s="61">
        <f>B155-D155</f>
        <v>4285.699999999999</v>
      </c>
      <c r="I155" s="72">
        <f t="shared" si="20"/>
        <v>16702.199999999997</v>
      </c>
      <c r="K155" s="39"/>
      <c r="L155" s="90"/>
    </row>
    <row r="156" spans="1:12" ht="18.75">
      <c r="A156" s="18" t="s">
        <v>2</v>
      </c>
      <c r="B156" s="60">
        <f>B9+B21+B47+B53+B122</f>
        <v>52.699999999999996</v>
      </c>
      <c r="C156" s="60">
        <f>C9+C21+C47+C53+C122</f>
        <v>106.9</v>
      </c>
      <c r="D156" s="60">
        <f>D9+D21+D47+D53+D122</f>
        <v>23.900000000000002</v>
      </c>
      <c r="E156" s="6">
        <f>D156/D151*100</f>
        <v>0.0025771122669896937</v>
      </c>
      <c r="F156" s="6">
        <f t="shared" si="21"/>
        <v>45.351043643263765</v>
      </c>
      <c r="G156" s="6">
        <f t="shared" si="18"/>
        <v>22.35734331150608</v>
      </c>
      <c r="H156" s="61">
        <f t="shared" si="19"/>
        <v>28.799999999999994</v>
      </c>
      <c r="I156" s="72">
        <f t="shared" si="20"/>
        <v>83</v>
      </c>
      <c r="K156" s="39"/>
      <c r="L156" s="40"/>
    </row>
    <row r="157" spans="1:12" ht="19.5" thickBot="1">
      <c r="A157" s="125" t="s">
        <v>28</v>
      </c>
      <c r="B157" s="78">
        <f>B151-B152-B153-B154-B155-B156</f>
        <v>528071.0999999997</v>
      </c>
      <c r="C157" s="78">
        <f>C151-C152-C153-C154-C155-C156</f>
        <v>997075.2999999995</v>
      </c>
      <c r="D157" s="78">
        <f>D151-D152-D153-D154-D155-D156</f>
        <v>447790.10000000003</v>
      </c>
      <c r="E157" s="36">
        <f>D157/D151*100</f>
        <v>48.28474308562936</v>
      </c>
      <c r="F157" s="36">
        <f t="shared" si="21"/>
        <v>84.797312331616</v>
      </c>
      <c r="G157" s="36">
        <f t="shared" si="18"/>
        <v>44.910359327926415</v>
      </c>
      <c r="H157" s="126">
        <f t="shared" si="19"/>
        <v>80280.99999999971</v>
      </c>
      <c r="I157" s="126">
        <f t="shared" si="20"/>
        <v>549285.1999999995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7" right="0.16" top="0.2" bottom="0.19" header="0.17" footer="0.18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1885792.2999999996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927394.6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1885792.2999999996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927394.6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2017-07-21T11:31:13Z</cp:lastPrinted>
  <dcterms:created xsi:type="dcterms:W3CDTF">2000-06-20T04:48:00Z</dcterms:created>
  <dcterms:modified xsi:type="dcterms:W3CDTF">2017-07-26T12:59:55Z</dcterms:modified>
  <cp:category/>
  <cp:version/>
  <cp:contentType/>
  <cp:contentStatus/>
</cp:coreProperties>
</file>